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\00\02 Creative\20.05 Thermal Webinar\"/>
    </mc:Choice>
  </mc:AlternateContent>
  <xr:revisionPtr revIDLastSave="0" documentId="8_{CD1078A8-3CD9-4793-AF52-00DF48B2A558}" xr6:coauthVersionLast="46" xr6:coauthVersionMax="46" xr10:uidLastSave="{00000000-0000-0000-0000-000000000000}"/>
  <bookViews>
    <workbookView xWindow="-120" yWindow="-120" windowWidth="29040" windowHeight="15840" xr2:uid="{A4617AD4-3659-48C0-A074-23BAAB72F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1" l="1"/>
  <c r="X10" i="1" s="1"/>
  <c r="K22" i="1" l="1"/>
  <c r="H22" i="1"/>
  <c r="AH16" i="1"/>
  <c r="F33" i="1"/>
  <c r="U25" i="1"/>
  <c r="U20" i="1"/>
  <c r="AA18" i="1"/>
  <c r="X16" i="1"/>
  <c r="U15" i="1"/>
  <c r="AA13" i="1"/>
  <c r="AA8" i="1"/>
  <c r="X29" i="1"/>
  <c r="AK8" i="1"/>
  <c r="AK13" i="1"/>
  <c r="AK18" i="1"/>
  <c r="AE25" i="1"/>
  <c r="AE15" i="1"/>
  <c r="AE20" i="1"/>
  <c r="F43" i="1"/>
  <c r="F36" i="1" s="1"/>
  <c r="C33" i="1"/>
  <c r="C15" i="1"/>
  <c r="H21" i="1"/>
  <c r="AE6" i="1"/>
  <c r="AE8" i="1" s="1"/>
  <c r="P4" i="1" l="1"/>
  <c r="P5" i="1" s="1"/>
  <c r="P6" i="1" s="1"/>
  <c r="AH29" i="1"/>
  <c r="U8" i="1"/>
  <c r="J33" i="1"/>
  <c r="L15" i="1" l="1"/>
  <c r="L16" i="1"/>
  <c r="L17" i="1"/>
  <c r="L18" i="1"/>
  <c r="L19" i="1"/>
  <c r="L14" i="1"/>
  <c r="H15" i="1" l="1"/>
  <c r="H16" i="1" s="1"/>
  <c r="H18" i="1" s="1"/>
  <c r="K23" i="1" s="1"/>
  <c r="H19" i="1" l="1"/>
  <c r="H23" i="1" s="1"/>
  <c r="H24" i="1" s="1"/>
  <c r="P7" i="1" s="1"/>
  <c r="P10" i="1" l="1"/>
  <c r="H3" i="1" s="1"/>
  <c r="P9" i="1"/>
  <c r="E3" i="1" s="1"/>
  <c r="P8" i="1"/>
  <c r="G5" i="1" s="1"/>
  <c r="P12" i="1" l="1"/>
  <c r="D8" i="1" s="1"/>
  <c r="P11" i="1"/>
  <c r="J27" i="1"/>
  <c r="J9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27" i="1"/>
  <c r="C19" i="1" s="1"/>
  <c r="C9" i="1" s="1"/>
  <c r="C10" i="1"/>
  <c r="M26" i="1"/>
  <c r="M27" i="1" s="1"/>
  <c r="M28" i="1" s="1"/>
  <c r="M29" i="1" s="1"/>
  <c r="M30" i="1" s="1"/>
  <c r="M31" i="1" s="1"/>
  <c r="P2" i="1" l="1"/>
</calcChain>
</file>

<file path=xl/sharedStrings.xml><?xml version="1.0" encoding="utf-8"?>
<sst xmlns="http://schemas.openxmlformats.org/spreadsheetml/2006/main" count="136" uniqueCount="65">
  <si>
    <t>Q</t>
  </si>
  <si>
    <t>Rc</t>
  </si>
  <si>
    <t>Rb</t>
  </si>
  <si>
    <t>Board</t>
  </si>
  <si>
    <t>Kc</t>
  </si>
  <si>
    <t>Kd</t>
  </si>
  <si>
    <t>Layer Table</t>
  </si>
  <si>
    <t>Tc</t>
  </si>
  <si>
    <t>Td</t>
  </si>
  <si>
    <t>Ka</t>
  </si>
  <si>
    <t>Kt</t>
  </si>
  <si>
    <t>Total Thickness</t>
  </si>
  <si>
    <t>t</t>
  </si>
  <si>
    <t>%c</t>
  </si>
  <si>
    <t>tc</t>
  </si>
  <si>
    <t>A</t>
  </si>
  <si>
    <t>R</t>
  </si>
  <si>
    <t>r</t>
  </si>
  <si>
    <t>h</t>
  </si>
  <si>
    <t>Chip</t>
  </si>
  <si>
    <t>Chip Area</t>
  </si>
  <si>
    <t>Ra</t>
  </si>
  <si>
    <t>Rt</t>
  </si>
  <si>
    <t>CrossArea</t>
  </si>
  <si>
    <t>Board-Air</t>
  </si>
  <si>
    <t>Heat Sink-Air</t>
  </si>
  <si>
    <t>Air-Outside</t>
  </si>
  <si>
    <t>VFR</t>
  </si>
  <si>
    <t>Air Specific Heat</t>
  </si>
  <si>
    <t>Density</t>
  </si>
  <si>
    <t>T</t>
  </si>
  <si>
    <t>Tair</t>
  </si>
  <si>
    <t>Junction Temperature</t>
  </si>
  <si>
    <t>Eff Length</t>
  </si>
  <si>
    <t>Eff Thickness</t>
  </si>
  <si>
    <t>HEAT SINK</t>
  </si>
  <si>
    <t>Heat Pipe-Heat Sink</t>
  </si>
  <si>
    <t>HEAT PIPE</t>
  </si>
  <si>
    <t>BOARD CONTACT</t>
  </si>
  <si>
    <t>CASE</t>
  </si>
  <si>
    <t>INTERNAL AIR</t>
  </si>
  <si>
    <t>Case</t>
  </si>
  <si>
    <t>Case-Air</t>
  </si>
  <si>
    <t>Junction</t>
  </si>
  <si>
    <t>HeatSink</t>
  </si>
  <si>
    <t>Board contact</t>
  </si>
  <si>
    <t>Air Internal</t>
  </si>
  <si>
    <t>Case-Heat Pipe</t>
  </si>
  <si>
    <t>Air External</t>
  </si>
  <si>
    <t>Heat Pipe</t>
  </si>
  <si>
    <t>Board Contact - Board</t>
  </si>
  <si>
    <t>BOARD</t>
  </si>
  <si>
    <t>sigma</t>
  </si>
  <si>
    <t>Qrad</t>
  </si>
  <si>
    <t>Chip Radiation</t>
  </si>
  <si>
    <t>Junction-Case</t>
  </si>
  <si>
    <t>Junction-Board</t>
  </si>
  <si>
    <t>Q1</t>
  </si>
  <si>
    <t>Q2</t>
  </si>
  <si>
    <t>Q3</t>
  </si>
  <si>
    <t>Q4</t>
  </si>
  <si>
    <t>Rd</t>
  </si>
  <si>
    <t>Re</t>
  </si>
  <si>
    <t>THERMAL</t>
  </si>
  <si>
    <t>FLOW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</si>
</sst>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0" xfId="0" applyFont="1" applyFill="1"/>
    <xf numFmtId="0" fontId="0" fillId="0" borderId="6" xfId="0" applyBorder="1"/>
    <xf numFmtId="0" fontId="0" fillId="0" borderId="8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2" xfId="0" applyFill="1" applyBorder="1"/>
    <xf numFmtId="11" fontId="0" fillId="4" borderId="12" xfId="0" applyNumberFormat="1" applyFill="1" applyBorder="1"/>
    <xf numFmtId="11" fontId="0" fillId="4" borderId="2" xfId="0" applyNumberFormat="1" applyFill="1" applyBorder="1"/>
    <xf numFmtId="11" fontId="0" fillId="4" borderId="0" xfId="0" applyNumberFormat="1" applyFill="1" applyBorder="1"/>
    <xf numFmtId="11" fontId="0" fillId="4" borderId="13" xfId="0" applyNumberFormat="1" applyFill="1" applyBorder="1"/>
    <xf numFmtId="0" fontId="0" fillId="4" borderId="14" xfId="0" applyFill="1" applyBorder="1"/>
    <xf numFmtId="11" fontId="0" fillId="4" borderId="15" xfId="0" applyNumberForma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3" borderId="9" xfId="0" applyFill="1" applyBorder="1"/>
    <xf numFmtId="0" fontId="0" fillId="6" borderId="0" xfId="0" applyFill="1" applyBorder="1"/>
    <xf numFmtId="0" fontId="0" fillId="6" borderId="3" xfId="0" applyFill="1" applyBorder="1"/>
    <xf numFmtId="0" fontId="0" fillId="6" borderId="5" xfId="0" applyFill="1" applyBorder="1"/>
    <xf numFmtId="0" fontId="0" fillId="9" borderId="0" xfId="0" applyFill="1"/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0" fillId="6" borderId="9" xfId="0" applyFill="1" applyBorder="1"/>
    <xf numFmtId="0" fontId="0" fillId="6" borderId="11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1" xfId="0" applyFill="1" applyBorder="1"/>
    <xf numFmtId="0" fontId="1" fillId="0" borderId="9" xfId="0" applyFont="1" applyBorder="1" applyAlignment="1"/>
    <xf numFmtId="0" fontId="1" fillId="0" borderId="11" xfId="0" applyFont="1" applyBorder="1" applyAlignment="1"/>
    <xf numFmtId="0" fontId="3" fillId="9" borderId="0" xfId="0" applyFont="1" applyFill="1"/>
    <xf numFmtId="2" fontId="5" fillId="0" borderId="22" xfId="0" applyNumberFormat="1" applyFont="1" applyBorder="1" applyAlignment="1">
      <alignment horizontal="center"/>
    </xf>
    <xf numFmtId="2" fontId="0" fillId="5" borderId="5" xfId="0" applyNumberFormat="1" applyFill="1" applyBorder="1"/>
    <xf numFmtId="2" fontId="0" fillId="5" borderId="8" xfId="0" applyNumberFormat="1" applyFill="1" applyBorder="1"/>
    <xf numFmtId="2" fontId="0" fillId="4" borderId="4" xfId="0" applyNumberFormat="1" applyFill="1" applyBorder="1"/>
    <xf numFmtId="2" fontId="0" fillId="3" borderId="5" xfId="0" applyNumberFormat="1" applyFill="1" applyBorder="1"/>
    <xf numFmtId="2" fontId="0" fillId="3" borderId="2" xfId="0" applyNumberFormat="1" applyFill="1" applyBorder="1"/>
    <xf numFmtId="2" fontId="3" fillId="2" borderId="0" xfId="0" applyNumberFormat="1" applyFont="1" applyFill="1"/>
    <xf numFmtId="2" fontId="0" fillId="7" borderId="0" xfId="0" applyNumberFormat="1" applyFill="1"/>
    <xf numFmtId="2" fontId="1" fillId="8" borderId="0" xfId="0" applyNumberFormat="1" applyFont="1" applyFill="1"/>
    <xf numFmtId="2" fontId="0" fillId="6" borderId="0" xfId="0" applyNumberFormat="1" applyFill="1"/>
    <xf numFmtId="2" fontId="0" fillId="6" borderId="6" xfId="0" applyNumberFormat="1" applyFill="1" applyBorder="1"/>
    <xf numFmtId="2" fontId="0" fillId="6" borderId="8" xfId="0" applyNumberFormat="1" applyFill="1" applyBorder="1"/>
    <xf numFmtId="2" fontId="0" fillId="0" borderId="0" xfId="0" applyNumberFormat="1"/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470646</xdr:colOff>
      <xdr:row>32</xdr:row>
      <xdr:rowOff>25785</xdr:rowOff>
    </xdr:from>
    <xdr:to>
      <xdr:col>17</xdr:col>
      <xdr:colOff>526676</xdr:colOff>
      <xdr:row>42</xdr:row>
      <xdr:rowOff>138952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1277FD-F390-414E-A94B-17E79B40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9646" y="6345903"/>
          <a:ext cx="3081618" cy="20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6989-624B-44DB-939F-4DCE67C16C06}">
  <dimension ref="A1:AK44"/>
  <sheetViews>
    <sheetView tabSelected="1" zoomScale="85" zoomScaleNormal="85" workbookViewId="0">
      <selection activeCell="H23" sqref="H23"/>
    </sheetView>
  </sheetViews>
  <sheetFormatPr defaultRowHeight="15" x14ac:dyDescent="0.25"/>
  <cols>
    <col min="1" max="1" width="9.140625" customWidth="1"/>
    <col min="2" max="2" width="7.42578125" customWidth="1"/>
    <col min="5" max="5" width="8.140625" customWidth="1"/>
    <col min="9" max="9" width="9" customWidth="1"/>
    <col min="10" max="10" width="11.42578125" customWidth="1"/>
    <col min="18" max="18" width="8.7109375" customWidth="1"/>
    <col min="19" max="19" width="7.140625" customWidth="1"/>
    <col min="20" max="20" width="4.28515625" customWidth="1"/>
    <col min="21" max="21" width="6.85546875" customWidth="1"/>
    <col min="22" max="22" width="6.140625" bestFit="1" customWidth="1"/>
    <col min="23" max="23" width="3.28515625" customWidth="1"/>
    <col min="24" max="24" width="6.85546875" customWidth="1"/>
    <col min="25" max="25" width="5.85546875" customWidth="1"/>
    <col min="26" max="26" width="3.85546875" customWidth="1"/>
    <col min="27" max="27" width="5.7109375" customWidth="1"/>
    <col min="28" max="28" width="6.140625" bestFit="1" customWidth="1"/>
    <col min="29" max="29" width="7" customWidth="1"/>
    <col min="30" max="30" width="4.28515625" customWidth="1"/>
    <col min="31" max="32" width="7" customWidth="1"/>
    <col min="33" max="33" width="4" customWidth="1"/>
    <col min="34" max="35" width="7" customWidth="1"/>
    <col min="36" max="36" width="3.42578125" customWidth="1"/>
    <col min="37" max="37" width="7" customWidth="1"/>
  </cols>
  <sheetData>
    <row r="1" spans="1:37" ht="15.75" thickBot="1" x14ac:dyDescent="0.3">
      <c r="F1" s="56" t="s">
        <v>19</v>
      </c>
      <c r="G1" s="57"/>
      <c r="O1" s="40" t="s">
        <v>54</v>
      </c>
      <c r="P1" s="41"/>
    </row>
    <row r="2" spans="1:37" ht="15.75" thickBot="1" x14ac:dyDescent="0.3">
      <c r="F2" s="34" t="s">
        <v>0</v>
      </c>
      <c r="G2" s="35">
        <v>12</v>
      </c>
      <c r="O2" s="2" t="s">
        <v>53</v>
      </c>
      <c r="P2" s="3">
        <f>P13*((C9+273.15)^4-(F36+273.15)^4)*F32</f>
        <v>0.41694826796056106</v>
      </c>
    </row>
    <row r="3" spans="1:37" ht="15.75" customHeight="1" thickBot="1" x14ac:dyDescent="0.3">
      <c r="B3" s="70" t="s">
        <v>55</v>
      </c>
      <c r="C3" s="71"/>
      <c r="D3" s="30"/>
      <c r="E3" s="42">
        <f>P9</f>
        <v>7.0822476647557311</v>
      </c>
      <c r="F3" s="28" t="s">
        <v>15</v>
      </c>
      <c r="G3" s="29">
        <v>1.1225E-3</v>
      </c>
      <c r="H3" s="42">
        <f>P10</f>
        <v>4.9177523352442689</v>
      </c>
      <c r="I3" s="70" t="s">
        <v>56</v>
      </c>
      <c r="J3" s="71"/>
    </row>
    <row r="4" spans="1:37" ht="15.75" thickBot="1" x14ac:dyDescent="0.3">
      <c r="B4" s="36" t="s">
        <v>16</v>
      </c>
      <c r="C4" s="45">
        <v>0.28210000000000002</v>
      </c>
      <c r="D4" s="30"/>
      <c r="E4" s="30"/>
      <c r="F4" s="72" t="s">
        <v>32</v>
      </c>
      <c r="G4" s="73"/>
      <c r="H4" s="30"/>
      <c r="I4" s="36" t="s">
        <v>16</v>
      </c>
      <c r="J4" s="45">
        <v>3.1337999999999999</v>
      </c>
      <c r="O4" t="s">
        <v>21</v>
      </c>
      <c r="P4">
        <f>C15+C23+C33</f>
        <v>8.2756339065631312</v>
      </c>
      <c r="T4" t="s">
        <v>63</v>
      </c>
      <c r="AD4" t="s">
        <v>64</v>
      </c>
    </row>
    <row r="5" spans="1:37" x14ac:dyDescent="0.25">
      <c r="C5" s="30"/>
      <c r="F5" s="1" t="s">
        <v>30</v>
      </c>
      <c r="G5" s="49">
        <f>G2*P8+F44</f>
        <v>79.614423283847415</v>
      </c>
      <c r="I5" s="30"/>
      <c r="O5" t="s">
        <v>2</v>
      </c>
      <c r="P5">
        <f>(1/P4+1/F33)^(-1)</f>
        <v>7.6466241272914743</v>
      </c>
    </row>
    <row r="6" spans="1:37" x14ac:dyDescent="0.25">
      <c r="C6" s="30"/>
      <c r="I6" s="30"/>
      <c r="O6" t="s">
        <v>1</v>
      </c>
      <c r="P6">
        <f>P5+C4</f>
        <v>7.9287241272914741</v>
      </c>
      <c r="T6" s="51" t="s">
        <v>0</v>
      </c>
      <c r="U6" s="51">
        <f>12-AA6</f>
        <v>6.55</v>
      </c>
      <c r="V6" s="52"/>
      <c r="W6" s="61" t="s">
        <v>43</v>
      </c>
      <c r="X6" s="61"/>
      <c r="Y6" s="52"/>
      <c r="Z6" s="51" t="s">
        <v>0</v>
      </c>
      <c r="AA6" s="51">
        <v>5.45</v>
      </c>
      <c r="AD6" s="51" t="s">
        <v>0</v>
      </c>
      <c r="AE6" s="51">
        <f>AE13+AH10</f>
        <v>6.8850000000000007</v>
      </c>
      <c r="AF6" s="52"/>
      <c r="AG6" s="61" t="s">
        <v>43</v>
      </c>
      <c r="AH6" s="61"/>
      <c r="AI6" s="52"/>
      <c r="AJ6" s="51" t="s">
        <v>0</v>
      </c>
      <c r="AK6" s="51">
        <v>5.1139999999999999</v>
      </c>
    </row>
    <row r="7" spans="1:37" ht="15.75" customHeight="1" thickBot="1" x14ac:dyDescent="0.3">
      <c r="C7" s="30"/>
      <c r="I7" s="30"/>
      <c r="O7" t="s">
        <v>61</v>
      </c>
      <c r="P7">
        <f>J4+H24+J33</f>
        <v>11.418466020048829</v>
      </c>
      <c r="T7" s="52"/>
      <c r="U7" s="52"/>
      <c r="V7" s="52"/>
      <c r="W7" s="50" t="s">
        <v>30</v>
      </c>
      <c r="X7" s="50">
        <v>75.03</v>
      </c>
      <c r="Y7" s="52"/>
      <c r="Z7" s="52"/>
      <c r="AA7" s="52"/>
      <c r="AD7" s="52"/>
      <c r="AE7" s="52"/>
      <c r="AF7" s="52"/>
      <c r="AG7" s="50" t="s">
        <v>30</v>
      </c>
      <c r="AH7" s="50">
        <v>70.59</v>
      </c>
      <c r="AI7" s="52"/>
      <c r="AJ7" s="52"/>
      <c r="AK7" s="52"/>
    </row>
    <row r="8" spans="1:37" ht="15" customHeight="1" thickBot="1" x14ac:dyDescent="0.3">
      <c r="A8" s="31">
        <f>P11</f>
        <v>6.5439441232201094</v>
      </c>
      <c r="B8" s="58" t="s">
        <v>39</v>
      </c>
      <c r="C8" s="58"/>
      <c r="D8" s="42">
        <f>P12</f>
        <v>0.53830354153562221</v>
      </c>
      <c r="E8" s="30"/>
      <c r="I8" s="74" t="s">
        <v>38</v>
      </c>
      <c r="J8" s="74"/>
      <c r="M8" s="31">
        <f>P10</f>
        <v>4.9177523352442689</v>
      </c>
      <c r="O8" t="s">
        <v>62</v>
      </c>
      <c r="P8">
        <f>(1/P6+1/P7)^(-1)+F43</f>
        <v>4.9678686069872846</v>
      </c>
      <c r="T8" s="53" t="s">
        <v>16</v>
      </c>
      <c r="U8" s="54">
        <f>(X7-U11)/U6</f>
        <v>0.27633587786259578</v>
      </c>
      <c r="V8" s="55"/>
      <c r="W8" s="55"/>
      <c r="X8" s="55"/>
      <c r="Y8" s="55"/>
      <c r="Z8" s="53" t="s">
        <v>16</v>
      </c>
      <c r="AA8" s="54">
        <f>(X7-AA11)/AA6</f>
        <v>3.1137614678899079</v>
      </c>
      <c r="AD8" s="53" t="s">
        <v>16</v>
      </c>
      <c r="AE8" s="54">
        <f>(AH7-AE11)/AE6</f>
        <v>0.28177196804647747</v>
      </c>
      <c r="AF8" s="55"/>
      <c r="AG8" s="55"/>
      <c r="AH8" s="55"/>
      <c r="AI8" s="55"/>
      <c r="AJ8" s="53" t="s">
        <v>16</v>
      </c>
      <c r="AK8" s="54">
        <f>(AH7-AK11)/AK6</f>
        <v>3.1345326554556125</v>
      </c>
    </row>
    <row r="9" spans="1:37" ht="15" customHeight="1" x14ac:dyDescent="0.25">
      <c r="A9" s="32">
        <f t="shared" ref="A9:A29" si="0">IF(A8-0.5&lt;0,0,A8-0.5)</f>
        <v>6.0439441232201094</v>
      </c>
      <c r="B9" s="1" t="s">
        <v>30</v>
      </c>
      <c r="C9" s="49">
        <f>P11*C15+C19</f>
        <v>77.616521217619834</v>
      </c>
      <c r="D9" s="30"/>
      <c r="E9" s="30"/>
      <c r="I9" s="1" t="s">
        <v>30</v>
      </c>
      <c r="J9" s="49">
        <f>P10*H24+J27</f>
        <v>64.203171015658938</v>
      </c>
      <c r="M9" s="32">
        <f t="shared" ref="M9:M29" si="1">IF(M8-0.5&lt;0,0,M8-0.5)</f>
        <v>4.4177523352442689</v>
      </c>
      <c r="O9" t="s">
        <v>57</v>
      </c>
      <c r="P9">
        <f>G2/(1+P6/P7)</f>
        <v>7.0822476647557311</v>
      </c>
      <c r="T9" s="52"/>
      <c r="U9" s="52"/>
      <c r="V9" s="55"/>
      <c r="W9" s="55"/>
      <c r="X9" s="55"/>
      <c r="Y9" s="55"/>
      <c r="Z9" s="52"/>
      <c r="AA9" s="52"/>
      <c r="AD9" s="52"/>
      <c r="AE9" s="52"/>
      <c r="AF9" s="55"/>
      <c r="AG9" s="55"/>
      <c r="AH9" s="55"/>
      <c r="AI9" s="55"/>
      <c r="AJ9" s="52"/>
      <c r="AK9" s="52"/>
    </row>
    <row r="10" spans="1:37" ht="15.75" thickBot="1" x14ac:dyDescent="0.3">
      <c r="A10" s="32">
        <f t="shared" si="0"/>
        <v>5.5439441232201094</v>
      </c>
      <c r="C10" s="42">
        <f>P11</f>
        <v>6.5439441232201094</v>
      </c>
      <c r="E10" s="30"/>
      <c r="I10" s="30"/>
      <c r="M10" s="32">
        <f t="shared" si="1"/>
        <v>3.9177523352442689</v>
      </c>
      <c r="O10" t="s">
        <v>58</v>
      </c>
      <c r="P10">
        <f>G2/(1+P7/P6)</f>
        <v>4.9177523352442689</v>
      </c>
      <c r="T10" s="61" t="s">
        <v>41</v>
      </c>
      <c r="U10" s="61"/>
      <c r="V10" s="52"/>
      <c r="W10" s="51" t="s">
        <v>0</v>
      </c>
      <c r="X10" s="51">
        <f>U6-U13</f>
        <v>0.75</v>
      </c>
      <c r="Y10" s="55"/>
      <c r="Z10" s="61" t="s">
        <v>45</v>
      </c>
      <c r="AA10" s="61"/>
      <c r="AD10" s="61" t="s">
        <v>41</v>
      </c>
      <c r="AE10" s="61"/>
      <c r="AF10" s="52"/>
      <c r="AG10" s="51" t="s">
        <v>0</v>
      </c>
      <c r="AH10" s="51">
        <v>1.1180000000000001</v>
      </c>
      <c r="AI10" s="55"/>
      <c r="AJ10" s="68" t="s">
        <v>45</v>
      </c>
      <c r="AK10" s="68"/>
    </row>
    <row r="11" spans="1:37" ht="15.75" thickBot="1" x14ac:dyDescent="0.3">
      <c r="A11" s="32">
        <f t="shared" si="0"/>
        <v>5.0439441232201094</v>
      </c>
      <c r="C11" s="30"/>
      <c r="E11" s="30"/>
      <c r="G11" s="62" t="s">
        <v>50</v>
      </c>
      <c r="H11" s="63"/>
      <c r="I11" s="63"/>
      <c r="J11" s="63"/>
      <c r="K11" s="63"/>
      <c r="L11" s="64"/>
      <c r="M11" s="32">
        <f t="shared" si="1"/>
        <v>3.4177523352442689</v>
      </c>
      <c r="O11" t="s">
        <v>59</v>
      </c>
      <c r="P11">
        <f>P9/(1+P4/F33)</f>
        <v>6.5439441232201094</v>
      </c>
      <c r="T11" s="50" t="s">
        <v>30</v>
      </c>
      <c r="U11" s="50">
        <v>73.22</v>
      </c>
      <c r="V11" s="52"/>
      <c r="W11" s="52"/>
      <c r="X11" s="52"/>
      <c r="Y11" s="55"/>
      <c r="Z11" s="50" t="s">
        <v>30</v>
      </c>
      <c r="AA11" s="50">
        <v>58.06</v>
      </c>
      <c r="AD11" s="50" t="s">
        <v>30</v>
      </c>
      <c r="AE11" s="50">
        <v>68.650000000000006</v>
      </c>
      <c r="AF11" s="52"/>
      <c r="AG11" s="52"/>
      <c r="AH11" s="52"/>
      <c r="AI11" s="55"/>
      <c r="AJ11" s="50" t="s">
        <v>30</v>
      </c>
      <c r="AK11" s="50">
        <v>54.56</v>
      </c>
    </row>
    <row r="12" spans="1:37" ht="15.75" thickBot="1" x14ac:dyDescent="0.3">
      <c r="A12" s="32">
        <f t="shared" si="0"/>
        <v>4.5439441232201094</v>
      </c>
      <c r="B12" s="70" t="s">
        <v>47</v>
      </c>
      <c r="C12" s="71"/>
      <c r="E12" s="30"/>
      <c r="G12" s="8" t="s">
        <v>4</v>
      </c>
      <c r="H12" s="9">
        <v>401</v>
      </c>
      <c r="I12" s="9"/>
      <c r="J12" s="65" t="s">
        <v>6</v>
      </c>
      <c r="K12" s="66"/>
      <c r="L12" s="67"/>
      <c r="M12" s="32">
        <f t="shared" si="1"/>
        <v>2.9177523352442689</v>
      </c>
      <c r="O12" t="s">
        <v>60</v>
      </c>
      <c r="P12">
        <f>P9/(1+F33/P4)</f>
        <v>0.53830354153562221</v>
      </c>
      <c r="T12" s="52"/>
      <c r="U12" s="52"/>
      <c r="V12" s="55"/>
      <c r="W12" s="52"/>
      <c r="X12" s="52"/>
      <c r="Y12" s="55"/>
      <c r="Z12" s="52"/>
      <c r="AA12" s="52"/>
      <c r="AD12" s="52"/>
      <c r="AE12" s="52"/>
      <c r="AF12" s="55"/>
      <c r="AG12" s="52"/>
      <c r="AH12" s="52"/>
      <c r="AI12" s="55"/>
      <c r="AJ12" s="52"/>
      <c r="AK12" s="52"/>
    </row>
    <row r="13" spans="1:37" ht="15.75" thickBot="1" x14ac:dyDescent="0.3">
      <c r="A13" s="32">
        <f t="shared" si="0"/>
        <v>4.0439441232201094</v>
      </c>
      <c r="B13" s="38" t="s">
        <v>17</v>
      </c>
      <c r="C13" s="39">
        <v>7.4189999999999998E-4</v>
      </c>
      <c r="E13" s="30"/>
      <c r="G13" s="10" t="s">
        <v>5</v>
      </c>
      <c r="H13" s="11">
        <v>0.3</v>
      </c>
      <c r="I13" s="11"/>
      <c r="J13" s="12" t="s">
        <v>12</v>
      </c>
      <c r="K13" s="11" t="s">
        <v>13</v>
      </c>
      <c r="L13" s="13" t="s">
        <v>14</v>
      </c>
      <c r="M13" s="32">
        <f t="shared" si="1"/>
        <v>2.4177523352442689</v>
      </c>
      <c r="O13" t="s">
        <v>52</v>
      </c>
      <c r="P13">
        <v>5.6699999999999998E-8</v>
      </c>
      <c r="T13" s="51" t="s">
        <v>0</v>
      </c>
      <c r="U13" s="51">
        <v>5.8</v>
      </c>
      <c r="V13" s="55"/>
      <c r="W13" s="52"/>
      <c r="X13" s="52"/>
      <c r="Y13" s="55"/>
      <c r="Z13" s="53" t="s">
        <v>16</v>
      </c>
      <c r="AA13" s="54">
        <f>(AA11-AA16)/AA6</f>
        <v>2.1706422018348634</v>
      </c>
      <c r="AD13" s="51" t="s">
        <v>0</v>
      </c>
      <c r="AE13" s="51">
        <v>5.7670000000000003</v>
      </c>
      <c r="AF13" s="55"/>
      <c r="AG13" s="52"/>
      <c r="AH13" s="52"/>
      <c r="AI13" s="55"/>
      <c r="AJ13" s="53" t="s">
        <v>16</v>
      </c>
      <c r="AK13" s="54">
        <f>(AK11-AK16)/AK6</f>
        <v>4.5580758701603443</v>
      </c>
    </row>
    <row r="14" spans="1:37" ht="15.75" thickBot="1" x14ac:dyDescent="0.3">
      <c r="A14" s="32">
        <f t="shared" si="0"/>
        <v>3.5439441232201094</v>
      </c>
      <c r="B14" s="24" t="s">
        <v>15</v>
      </c>
      <c r="C14" s="25">
        <v>1.55E-4</v>
      </c>
      <c r="E14" s="30"/>
      <c r="G14" s="10" t="s">
        <v>11</v>
      </c>
      <c r="H14" s="16">
        <v>1E-3</v>
      </c>
      <c r="I14" s="11"/>
      <c r="J14" s="14">
        <v>3.2999999999999996E-5</v>
      </c>
      <c r="K14" s="11">
        <v>0.2</v>
      </c>
      <c r="L14" s="15">
        <f>K14*J14</f>
        <v>6.5999999999999995E-6</v>
      </c>
      <c r="M14" s="32">
        <f t="shared" si="1"/>
        <v>1.9177523352442689</v>
      </c>
      <c r="T14" s="52"/>
      <c r="U14" s="52"/>
      <c r="V14" s="55"/>
      <c r="W14" s="52"/>
      <c r="X14" s="52"/>
      <c r="Y14" s="55"/>
      <c r="Z14" s="52"/>
      <c r="AA14" s="52"/>
      <c r="AD14" s="52"/>
      <c r="AE14" s="52"/>
      <c r="AF14" s="55"/>
      <c r="AG14" s="52"/>
      <c r="AH14" s="52"/>
      <c r="AI14" s="55"/>
      <c r="AJ14" s="52"/>
      <c r="AK14" s="52"/>
    </row>
    <row r="15" spans="1:37" ht="15.75" thickBot="1" x14ac:dyDescent="0.3">
      <c r="A15" s="32">
        <f t="shared" si="0"/>
        <v>3.0439441232201094</v>
      </c>
      <c r="B15" s="23" t="s">
        <v>16</v>
      </c>
      <c r="C15" s="44">
        <f>C13/C14</f>
        <v>4.7864516129032255</v>
      </c>
      <c r="E15" s="30"/>
      <c r="G15" s="10" t="s">
        <v>7</v>
      </c>
      <c r="H15" s="16">
        <f>SUM(L14:L19)</f>
        <v>1.3199999999999998E-4</v>
      </c>
      <c r="I15" s="11"/>
      <c r="J15" s="14">
        <v>6.5999999999999992E-5</v>
      </c>
      <c r="K15" s="11">
        <v>0.8</v>
      </c>
      <c r="L15" s="15">
        <f t="shared" ref="L15:L19" si="2">K15*J15</f>
        <v>5.2799999999999996E-5</v>
      </c>
      <c r="M15" s="32">
        <f t="shared" si="1"/>
        <v>1.4177523352442689</v>
      </c>
      <c r="T15" s="53" t="s">
        <v>16</v>
      </c>
      <c r="U15" s="54">
        <f>(U11-U18)/U13</f>
        <v>4.9034482758620683</v>
      </c>
      <c r="V15" s="55"/>
      <c r="W15" s="52"/>
      <c r="X15" s="52"/>
      <c r="Y15" s="55"/>
      <c r="Z15" s="61" t="s">
        <v>3</v>
      </c>
      <c r="AA15" s="61"/>
      <c r="AD15" s="53" t="s">
        <v>16</v>
      </c>
      <c r="AE15" s="54">
        <f>(AE11-AE18)/AE13</f>
        <v>5.0945032079070574</v>
      </c>
      <c r="AF15" s="55"/>
      <c r="AG15" s="52"/>
      <c r="AH15" s="52"/>
      <c r="AI15" s="55"/>
      <c r="AJ15" s="61" t="s">
        <v>3</v>
      </c>
      <c r="AK15" s="61"/>
    </row>
    <row r="16" spans="1:37" ht="15.75" customHeight="1" thickBot="1" x14ac:dyDescent="0.3">
      <c r="A16" s="32">
        <f t="shared" si="0"/>
        <v>2.5439441232201094</v>
      </c>
      <c r="C16" s="30"/>
      <c r="E16" s="30"/>
      <c r="G16" s="10" t="s">
        <v>8</v>
      </c>
      <c r="H16" s="16">
        <f>H14-H15</f>
        <v>8.6800000000000006E-4</v>
      </c>
      <c r="I16" s="11"/>
      <c r="J16" s="14">
        <v>3.2999999999999996E-5</v>
      </c>
      <c r="K16" s="11">
        <v>0.2</v>
      </c>
      <c r="L16" s="15">
        <f t="shared" si="2"/>
        <v>6.5999999999999995E-6</v>
      </c>
      <c r="M16" s="32">
        <f t="shared" si="1"/>
        <v>0.91775233524426891</v>
      </c>
      <c r="T16" s="52"/>
      <c r="U16" s="52"/>
      <c r="V16" s="55"/>
      <c r="W16" s="53" t="s">
        <v>16</v>
      </c>
      <c r="X16" s="54">
        <f>(U11-X27)/X10</f>
        <v>66.346666666666664</v>
      </c>
      <c r="Y16" s="55"/>
      <c r="Z16" s="50" t="s">
        <v>30</v>
      </c>
      <c r="AA16" s="50">
        <v>46.23</v>
      </c>
      <c r="AD16" s="52"/>
      <c r="AE16" s="52"/>
      <c r="AF16" s="55"/>
      <c r="AG16" s="53" t="s">
        <v>16</v>
      </c>
      <c r="AH16" s="54">
        <f>(AE11-AH27)/AH10</f>
        <v>40.83184257602862</v>
      </c>
      <c r="AI16" s="55"/>
      <c r="AJ16" s="50" t="s">
        <v>30</v>
      </c>
      <c r="AK16" s="50">
        <v>31.25</v>
      </c>
    </row>
    <row r="17" spans="1:37" ht="15.75" thickBot="1" x14ac:dyDescent="0.3">
      <c r="A17" s="32">
        <f t="shared" si="0"/>
        <v>2.0439441232201094</v>
      </c>
      <c r="C17" s="30"/>
      <c r="E17" s="30"/>
      <c r="G17" s="10"/>
      <c r="H17" s="11"/>
      <c r="I17" s="11"/>
      <c r="J17" s="14">
        <v>3.2999999999999996E-5</v>
      </c>
      <c r="K17" s="11">
        <v>0.2</v>
      </c>
      <c r="L17" s="15">
        <f t="shared" si="2"/>
        <v>6.5999999999999995E-6</v>
      </c>
      <c r="M17" s="32">
        <f t="shared" si="1"/>
        <v>0.41775233524426891</v>
      </c>
      <c r="T17" s="61" t="s">
        <v>49</v>
      </c>
      <c r="U17" s="61"/>
      <c r="V17" s="55"/>
      <c r="W17" s="52"/>
      <c r="X17" s="52"/>
      <c r="Y17" s="55"/>
      <c r="Z17" s="52"/>
      <c r="AA17" s="52"/>
      <c r="AD17" s="61" t="s">
        <v>49</v>
      </c>
      <c r="AE17" s="61"/>
      <c r="AF17" s="55"/>
      <c r="AG17" s="52"/>
      <c r="AH17" s="52"/>
      <c r="AI17" s="55"/>
      <c r="AJ17" s="52"/>
      <c r="AK17" s="52"/>
    </row>
    <row r="18" spans="1:37" ht="15.75" thickBot="1" x14ac:dyDescent="0.3">
      <c r="A18" s="32">
        <f t="shared" si="0"/>
        <v>1.5439441232201094</v>
      </c>
      <c r="B18" s="69" t="s">
        <v>37</v>
      </c>
      <c r="C18" s="69"/>
      <c r="E18" s="30"/>
      <c r="G18" s="10" t="s">
        <v>10</v>
      </c>
      <c r="H18" s="11">
        <f>(H12*H15+H16*H13)/H14</f>
        <v>53.192399999999992</v>
      </c>
      <c r="I18" s="11"/>
      <c r="J18" s="14">
        <v>6.5999999999999992E-5</v>
      </c>
      <c r="K18" s="11">
        <v>0.8</v>
      </c>
      <c r="L18" s="15">
        <f t="shared" si="2"/>
        <v>5.2799999999999996E-5</v>
      </c>
      <c r="M18" s="32">
        <f t="shared" si="1"/>
        <v>0</v>
      </c>
      <c r="T18" s="50" t="s">
        <v>30</v>
      </c>
      <c r="U18" s="50">
        <v>44.78</v>
      </c>
      <c r="V18" s="55"/>
      <c r="W18" s="52"/>
      <c r="X18" s="52"/>
      <c r="Y18" s="55"/>
      <c r="Z18" s="53" t="s">
        <v>16</v>
      </c>
      <c r="AA18" s="54">
        <f>(AA16-X27)/AA6</f>
        <v>4.1779816513761459</v>
      </c>
      <c r="AD18" s="50" t="s">
        <v>30</v>
      </c>
      <c r="AE18" s="50">
        <v>39.270000000000003</v>
      </c>
      <c r="AF18" s="55"/>
      <c r="AG18" s="52"/>
      <c r="AH18" s="52"/>
      <c r="AI18" s="55"/>
      <c r="AJ18" s="53" t="s">
        <v>16</v>
      </c>
      <c r="AK18" s="54">
        <f>(AK16-AH27)/AK6</f>
        <v>1.6132186155651154</v>
      </c>
    </row>
    <row r="19" spans="1:37" ht="15.75" thickBot="1" x14ac:dyDescent="0.3">
      <c r="A19" s="32">
        <f t="shared" si="0"/>
        <v>1.0439441232201094</v>
      </c>
      <c r="B19" s="1" t="s">
        <v>30</v>
      </c>
      <c r="C19" s="49">
        <f>P11*C23+C27</f>
        <v>46.29424931428435</v>
      </c>
      <c r="E19" s="30"/>
      <c r="G19" s="10" t="s">
        <v>9</v>
      </c>
      <c r="H19" s="11">
        <f>H14/(H15/H12+H16/H13)</f>
        <v>0.34558280255874907</v>
      </c>
      <c r="I19" s="11"/>
      <c r="J19" s="17">
        <v>3.2999999999999996E-5</v>
      </c>
      <c r="K19" s="18">
        <v>0.2</v>
      </c>
      <c r="L19" s="19">
        <f t="shared" si="2"/>
        <v>6.5999999999999995E-6</v>
      </c>
      <c r="M19" s="32">
        <f t="shared" si="1"/>
        <v>0</v>
      </c>
      <c r="T19" s="52"/>
      <c r="U19" s="52"/>
      <c r="V19" s="55"/>
      <c r="W19" s="52"/>
      <c r="X19" s="52"/>
      <c r="Y19" s="55"/>
      <c r="Z19" s="52"/>
      <c r="AA19" s="52"/>
      <c r="AD19" s="52"/>
      <c r="AE19" s="52"/>
      <c r="AF19" s="55"/>
      <c r="AG19" s="52"/>
      <c r="AH19" s="52"/>
      <c r="AI19" s="55"/>
      <c r="AJ19" s="52"/>
      <c r="AK19" s="52"/>
    </row>
    <row r="20" spans="1:37" ht="15.75" thickBot="1" x14ac:dyDescent="0.3">
      <c r="A20" s="32">
        <f t="shared" si="0"/>
        <v>0.54394412322010943</v>
      </c>
      <c r="C20" s="30"/>
      <c r="E20" s="30"/>
      <c r="G20" s="10"/>
      <c r="H20" s="11"/>
      <c r="I20" s="11"/>
      <c r="J20" s="16"/>
      <c r="K20" s="11"/>
      <c r="L20" s="13"/>
      <c r="M20" s="32">
        <f t="shared" si="1"/>
        <v>0</v>
      </c>
      <c r="T20" s="53" t="s">
        <v>16</v>
      </c>
      <c r="U20" s="54">
        <f>(U18-U23)/U13</f>
        <v>0.35344827586206973</v>
      </c>
      <c r="V20" s="55"/>
      <c r="W20" s="52"/>
      <c r="X20" s="52"/>
      <c r="Y20" s="55"/>
      <c r="Z20" s="52"/>
      <c r="AA20" s="52"/>
      <c r="AD20" s="53" t="s">
        <v>16</v>
      </c>
      <c r="AE20" s="54">
        <f>(AE18-AE23)/AE13</f>
        <v>8.6700190740419625E-2</v>
      </c>
      <c r="AF20" s="55"/>
      <c r="AG20" s="52"/>
      <c r="AH20" s="52"/>
      <c r="AI20" s="55"/>
      <c r="AJ20" s="52"/>
      <c r="AK20" s="52"/>
    </row>
    <row r="21" spans="1:37" ht="15.75" thickBot="1" x14ac:dyDescent="0.3">
      <c r="A21" s="32">
        <f t="shared" si="0"/>
        <v>4.3944123220109432E-2</v>
      </c>
      <c r="C21" s="30"/>
      <c r="E21" s="30"/>
      <c r="G21" s="10" t="s">
        <v>34</v>
      </c>
      <c r="H21" s="27">
        <f>0.0018/3</f>
        <v>5.9999999999999995E-4</v>
      </c>
      <c r="I21" s="11"/>
      <c r="J21" s="11" t="s">
        <v>23</v>
      </c>
      <c r="K21" s="27">
        <v>2.52E-4</v>
      </c>
      <c r="L21" s="13"/>
      <c r="M21" s="32">
        <f t="shared" si="1"/>
        <v>0</v>
      </c>
      <c r="T21" s="52"/>
      <c r="U21" s="52"/>
      <c r="V21" s="55"/>
      <c r="W21" s="52"/>
      <c r="X21" s="52"/>
      <c r="Y21" s="55"/>
      <c r="Z21" s="52"/>
      <c r="AA21" s="52"/>
      <c r="AD21" s="52"/>
      <c r="AE21" s="52"/>
      <c r="AF21" s="55"/>
      <c r="AG21" s="52"/>
      <c r="AH21" s="52"/>
      <c r="AI21" s="55"/>
      <c r="AJ21" s="52"/>
      <c r="AK21" s="52"/>
    </row>
    <row r="22" spans="1:37" ht="15.75" thickBot="1" x14ac:dyDescent="0.3">
      <c r="A22" s="32">
        <f t="shared" si="0"/>
        <v>0</v>
      </c>
      <c r="B22" s="75" t="s">
        <v>36</v>
      </c>
      <c r="C22" s="76"/>
      <c r="E22" s="30"/>
      <c r="G22" s="10" t="s">
        <v>20</v>
      </c>
      <c r="H22" s="11">
        <f>G3</f>
        <v>1.1225E-3</v>
      </c>
      <c r="I22" s="11"/>
      <c r="J22" s="11" t="s">
        <v>33</v>
      </c>
      <c r="K22" s="27">
        <f>0.165/3</f>
        <v>5.5E-2</v>
      </c>
      <c r="L22" s="13"/>
      <c r="M22" s="32">
        <f t="shared" si="1"/>
        <v>0</v>
      </c>
      <c r="T22" s="61" t="s">
        <v>44</v>
      </c>
      <c r="U22" s="61"/>
      <c r="V22" s="55"/>
      <c r="W22" s="52"/>
      <c r="X22" s="52"/>
      <c r="Y22" s="55"/>
      <c r="Z22" s="52"/>
      <c r="AA22" s="52"/>
      <c r="AD22" s="61" t="s">
        <v>44</v>
      </c>
      <c r="AE22" s="61"/>
      <c r="AF22" s="55"/>
      <c r="AG22" s="52"/>
      <c r="AH22" s="52"/>
      <c r="AI22" s="55"/>
      <c r="AJ22" s="52"/>
      <c r="AK22" s="52"/>
    </row>
    <row r="23" spans="1:37" ht="15.75" thickBot="1" x14ac:dyDescent="0.3">
      <c r="A23" s="32">
        <f t="shared" si="0"/>
        <v>0</v>
      </c>
      <c r="B23" s="36" t="s">
        <v>16</v>
      </c>
      <c r="C23" s="37">
        <v>0.3</v>
      </c>
      <c r="E23" s="30"/>
      <c r="G23" s="10" t="s">
        <v>21</v>
      </c>
      <c r="H23" s="11">
        <f>H21/(H19*H22)</f>
        <v>1.5467238362890101</v>
      </c>
      <c r="I23" s="11"/>
      <c r="J23" s="11" t="s">
        <v>22</v>
      </c>
      <c r="K23" s="11">
        <f>K22/(H18*K21)</f>
        <v>4.103104358027994</v>
      </c>
      <c r="L23" s="13"/>
      <c r="M23" s="32">
        <f t="shared" si="1"/>
        <v>0</v>
      </c>
      <c r="T23" s="50" t="s">
        <v>30</v>
      </c>
      <c r="U23" s="50">
        <v>42.73</v>
      </c>
      <c r="V23" s="55"/>
      <c r="W23" s="52"/>
      <c r="X23" s="52"/>
      <c r="Y23" s="55"/>
      <c r="Z23" s="52"/>
      <c r="AA23" s="52"/>
      <c r="AD23" s="50" t="s">
        <v>30</v>
      </c>
      <c r="AE23" s="50">
        <v>38.770000000000003</v>
      </c>
      <c r="AF23" s="55"/>
      <c r="AG23" s="52"/>
      <c r="AH23" s="52"/>
      <c r="AI23" s="55"/>
      <c r="AJ23" s="52"/>
      <c r="AK23" s="52"/>
    </row>
    <row r="24" spans="1:37" ht="15.75" thickBot="1" x14ac:dyDescent="0.3">
      <c r="A24" s="32">
        <f t="shared" si="0"/>
        <v>0</v>
      </c>
      <c r="C24" s="30"/>
      <c r="E24" s="30"/>
      <c r="G24" s="20" t="s">
        <v>16</v>
      </c>
      <c r="H24" s="46">
        <f>H23+K23</f>
        <v>5.6498281943170046</v>
      </c>
      <c r="I24" s="21"/>
      <c r="J24" s="21"/>
      <c r="K24" s="21"/>
      <c r="L24" s="22"/>
      <c r="M24" s="32">
        <f t="shared" si="1"/>
        <v>0</v>
      </c>
      <c r="T24" s="52"/>
      <c r="U24" s="52"/>
      <c r="V24" s="55"/>
      <c r="W24" s="52"/>
      <c r="X24" s="52"/>
      <c r="Y24" s="55"/>
      <c r="Z24" s="52"/>
      <c r="AA24" s="52"/>
      <c r="AD24" s="52"/>
      <c r="AE24" s="52"/>
      <c r="AF24" s="55"/>
      <c r="AG24" s="52"/>
      <c r="AH24" s="52"/>
      <c r="AI24" s="55"/>
      <c r="AJ24" s="52"/>
      <c r="AK24" s="52"/>
    </row>
    <row r="25" spans="1:37" ht="15.75" thickBot="1" x14ac:dyDescent="0.3">
      <c r="A25" s="32">
        <f t="shared" si="0"/>
        <v>0</v>
      </c>
      <c r="C25" s="30"/>
      <c r="E25" s="30"/>
      <c r="I25" s="30"/>
      <c r="M25" s="32">
        <f t="shared" si="1"/>
        <v>0</v>
      </c>
      <c r="T25" s="53" t="s">
        <v>16</v>
      </c>
      <c r="U25" s="54">
        <f>(U23-X27)/U13</f>
        <v>3.3224137931034479</v>
      </c>
      <c r="V25" s="55"/>
      <c r="W25" s="52"/>
      <c r="X25" s="52"/>
      <c r="Y25" s="55"/>
      <c r="Z25" s="52"/>
      <c r="AA25" s="52"/>
      <c r="AD25" s="53" t="s">
        <v>16</v>
      </c>
      <c r="AE25" s="54">
        <f>(AE23-AH27)/AE13</f>
        <v>2.7345240159528355</v>
      </c>
      <c r="AF25" s="55"/>
      <c r="AG25" s="52"/>
      <c r="AH25" s="52"/>
      <c r="AI25" s="55"/>
      <c r="AJ25" s="52"/>
      <c r="AK25" s="52"/>
    </row>
    <row r="26" spans="1:37" x14ac:dyDescent="0.25">
      <c r="A26" s="32">
        <f t="shared" si="0"/>
        <v>0</v>
      </c>
      <c r="B26" s="69" t="s">
        <v>35</v>
      </c>
      <c r="C26" s="69"/>
      <c r="E26" s="30"/>
      <c r="I26" s="58" t="s">
        <v>51</v>
      </c>
      <c r="J26" s="58"/>
      <c r="M26" s="32">
        <f t="shared" si="1"/>
        <v>0</v>
      </c>
      <c r="T26" s="52"/>
      <c r="U26" s="52"/>
      <c r="V26" s="52"/>
      <c r="W26" s="61" t="s">
        <v>46</v>
      </c>
      <c r="X26" s="61"/>
      <c r="Y26" s="52"/>
      <c r="Z26" s="52"/>
      <c r="AA26" s="52"/>
      <c r="AD26" s="52"/>
      <c r="AE26" s="52"/>
      <c r="AF26" s="52"/>
      <c r="AG26" s="61" t="s">
        <v>46</v>
      </c>
      <c r="AH26" s="61"/>
      <c r="AI26" s="52"/>
      <c r="AJ26" s="52"/>
      <c r="AK26" s="52"/>
    </row>
    <row r="27" spans="1:37" x14ac:dyDescent="0.25">
      <c r="A27" s="32">
        <f t="shared" si="0"/>
        <v>0</v>
      </c>
      <c r="B27" s="1" t="s">
        <v>30</v>
      </c>
      <c r="C27" s="49">
        <f>P11*C33+F36</f>
        <v>44.331066077318319</v>
      </c>
      <c r="E27" s="30"/>
      <c r="I27" s="1" t="s">
        <v>30</v>
      </c>
      <c r="J27" s="49">
        <f>P10*J33+F36</f>
        <v>36.418715219327574</v>
      </c>
      <c r="M27" s="32">
        <f t="shared" si="1"/>
        <v>0</v>
      </c>
      <c r="T27" s="52"/>
      <c r="U27" s="52"/>
      <c r="V27" s="52"/>
      <c r="W27" s="50" t="s">
        <v>30</v>
      </c>
      <c r="X27" s="50">
        <v>23.46</v>
      </c>
      <c r="Y27" s="52"/>
      <c r="Z27" s="52"/>
      <c r="AA27" s="52"/>
      <c r="AD27" s="52"/>
      <c r="AE27" s="52"/>
      <c r="AF27" s="52"/>
      <c r="AG27" s="50" t="s">
        <v>30</v>
      </c>
      <c r="AH27" s="50">
        <v>23</v>
      </c>
      <c r="AI27" s="52"/>
      <c r="AJ27" s="52"/>
      <c r="AK27" s="52"/>
    </row>
    <row r="28" spans="1:37" ht="15.75" thickBot="1" x14ac:dyDescent="0.3">
      <c r="A28" s="32">
        <f t="shared" si="0"/>
        <v>0</v>
      </c>
      <c r="C28" s="30"/>
      <c r="E28" s="30"/>
      <c r="I28" s="30"/>
      <c r="M28" s="32">
        <f t="shared" si="1"/>
        <v>0</v>
      </c>
      <c r="T28" s="55"/>
      <c r="U28" s="55"/>
      <c r="V28" s="55"/>
      <c r="W28" s="52"/>
      <c r="X28" s="52"/>
      <c r="Y28" s="55"/>
      <c r="Z28" s="55"/>
      <c r="AA28" s="55"/>
      <c r="AD28" s="55"/>
      <c r="AE28" s="55"/>
      <c r="AF28" s="55"/>
      <c r="AG28" s="52"/>
      <c r="AH28" s="52"/>
      <c r="AI28" s="55"/>
      <c r="AJ28" s="55"/>
      <c r="AK28" s="55"/>
    </row>
    <row r="29" spans="1:37" ht="15.75" thickBot="1" x14ac:dyDescent="0.3">
      <c r="A29" s="32">
        <f t="shared" si="0"/>
        <v>0</v>
      </c>
      <c r="C29" s="30"/>
      <c r="E29" s="30"/>
      <c r="I29" s="30"/>
      <c r="M29" s="32">
        <f t="shared" si="1"/>
        <v>0</v>
      </c>
      <c r="T29" s="55"/>
      <c r="U29" s="55"/>
      <c r="V29" s="55"/>
      <c r="W29" s="53" t="s">
        <v>16</v>
      </c>
      <c r="X29" s="54">
        <f>(X27-X32)/(U6+AA6)</f>
        <v>0.28833333333333339</v>
      </c>
      <c r="Y29" s="55"/>
      <c r="Z29" s="55"/>
      <c r="AA29" s="55"/>
      <c r="AD29" s="55"/>
      <c r="AE29" s="55"/>
      <c r="AF29" s="55"/>
      <c r="AG29" s="53" t="s">
        <v>16</v>
      </c>
      <c r="AH29" s="54">
        <f>(AH27-AH32)/(AE6+AK6)</f>
        <v>0.25002083506958911</v>
      </c>
      <c r="AI29" s="55"/>
      <c r="AJ29" s="55"/>
      <c r="AK29" s="55"/>
    </row>
    <row r="30" spans="1:37" ht="15.75" thickBot="1" x14ac:dyDescent="0.3">
      <c r="A30" s="32">
        <f t="shared" ref="A30:A31" si="3">IF(A29-0.5&lt;0,0,A29-0.5)</f>
        <v>0</v>
      </c>
      <c r="B30" s="59" t="s">
        <v>25</v>
      </c>
      <c r="C30" s="60"/>
      <c r="E30" s="59" t="s">
        <v>42</v>
      </c>
      <c r="F30" s="60"/>
      <c r="I30" s="59" t="s">
        <v>24</v>
      </c>
      <c r="J30" s="60"/>
      <c r="M30" s="32">
        <f t="shared" ref="M30:M31" si="4">IF(M29-0.5&lt;0,0,M29-0.5)</f>
        <v>0</v>
      </c>
      <c r="T30" s="55"/>
      <c r="U30" s="55"/>
      <c r="V30" s="55"/>
      <c r="W30" s="52"/>
      <c r="X30" s="52"/>
      <c r="Y30" s="55"/>
      <c r="Z30" s="55"/>
      <c r="AA30" s="55"/>
      <c r="AD30" s="55"/>
      <c r="AE30" s="55"/>
      <c r="AF30" s="55"/>
      <c r="AG30" s="52"/>
      <c r="AH30" s="52"/>
      <c r="AI30" s="55"/>
      <c r="AJ30" s="55"/>
      <c r="AK30" s="55"/>
    </row>
    <row r="31" spans="1:37" x14ac:dyDescent="0.25">
      <c r="A31" s="43">
        <f t="shared" si="3"/>
        <v>0</v>
      </c>
      <c r="B31" s="26" t="s">
        <v>18</v>
      </c>
      <c r="C31" s="35">
        <v>20</v>
      </c>
      <c r="E31" s="26" t="s">
        <v>18</v>
      </c>
      <c r="F31" s="35">
        <v>10</v>
      </c>
      <c r="I31" s="26" t="s">
        <v>18</v>
      </c>
      <c r="J31" s="35">
        <v>10</v>
      </c>
      <c r="M31" s="33">
        <f t="shared" si="4"/>
        <v>0</v>
      </c>
      <c r="T31" s="55"/>
      <c r="U31" s="55"/>
      <c r="V31" s="55"/>
      <c r="W31" s="61" t="s">
        <v>48</v>
      </c>
      <c r="X31" s="61"/>
      <c r="Y31" s="55"/>
      <c r="Z31" s="55"/>
      <c r="AA31" s="55"/>
      <c r="AD31" s="55"/>
      <c r="AE31" s="55"/>
      <c r="AF31" s="55"/>
      <c r="AG31" s="61" t="s">
        <v>48</v>
      </c>
      <c r="AH31" s="61"/>
      <c r="AI31" s="55"/>
      <c r="AJ31" s="55"/>
      <c r="AK31" s="55"/>
    </row>
    <row r="32" spans="1:37" x14ac:dyDescent="0.25">
      <c r="B32" s="4" t="s">
        <v>15</v>
      </c>
      <c r="C32" s="5">
        <v>1.5678000000000001E-2</v>
      </c>
      <c r="E32" s="4" t="s">
        <v>15</v>
      </c>
      <c r="F32" s="5">
        <v>9.9400000000000009E-4</v>
      </c>
      <c r="I32" s="4" t="s">
        <v>15</v>
      </c>
      <c r="J32" s="5">
        <v>3.7953000000000001E-2</v>
      </c>
      <c r="T32" s="55"/>
      <c r="U32" s="55"/>
      <c r="V32" s="55"/>
      <c r="W32" s="50" t="s">
        <v>30</v>
      </c>
      <c r="X32" s="50">
        <v>20</v>
      </c>
      <c r="Y32" s="55"/>
      <c r="Z32" s="55"/>
      <c r="AA32" s="55"/>
      <c r="AD32" s="55"/>
      <c r="AE32" s="55"/>
      <c r="AF32" s="55"/>
      <c r="AG32" s="50" t="s">
        <v>30</v>
      </c>
      <c r="AH32" s="50">
        <v>20</v>
      </c>
      <c r="AI32" s="55"/>
      <c r="AJ32" s="55"/>
      <c r="AK32" s="55"/>
    </row>
    <row r="33" spans="2:10" ht="15.75" thickBot="1" x14ac:dyDescent="0.3">
      <c r="B33" s="6" t="s">
        <v>16</v>
      </c>
      <c r="C33" s="47">
        <f>1/(C31*C32)</f>
        <v>3.1891822936599055</v>
      </c>
      <c r="E33" s="6" t="s">
        <v>16</v>
      </c>
      <c r="F33" s="47">
        <f>1/(F31*F32)</f>
        <v>100.60362173038229</v>
      </c>
      <c r="I33" s="6" t="s">
        <v>16</v>
      </c>
      <c r="J33" s="47">
        <f>1/(J31*J32)</f>
        <v>2.6348378257318261</v>
      </c>
    </row>
    <row r="34" spans="2:10" x14ac:dyDescent="0.25">
      <c r="C34" s="30"/>
      <c r="E34" s="30"/>
      <c r="I34" s="30"/>
    </row>
    <row r="35" spans="2:10" x14ac:dyDescent="0.25">
      <c r="C35" s="30"/>
      <c r="D35" s="30"/>
      <c r="E35" s="58" t="s">
        <v>40</v>
      </c>
      <c r="F35" s="58"/>
      <c r="G35" s="30"/>
      <c r="H35" s="30"/>
      <c r="I35" s="30"/>
    </row>
    <row r="36" spans="2:10" x14ac:dyDescent="0.25">
      <c r="C36" s="30"/>
      <c r="D36" s="30"/>
      <c r="E36" s="1" t="s">
        <v>30</v>
      </c>
      <c r="F36" s="49">
        <f>F43*G2+F44</f>
        <v>23.461235348844951</v>
      </c>
      <c r="G36" s="30"/>
      <c r="H36" s="30"/>
      <c r="I36" s="30"/>
    </row>
    <row r="37" spans="2:10" x14ac:dyDescent="0.25">
      <c r="E37" s="30"/>
    </row>
    <row r="38" spans="2:10" ht="15.75" thickBot="1" x14ac:dyDescent="0.3">
      <c r="E38" s="30"/>
    </row>
    <row r="39" spans="2:10" ht="15.75" thickBot="1" x14ac:dyDescent="0.3">
      <c r="E39" s="59" t="s">
        <v>26</v>
      </c>
      <c r="F39" s="60"/>
    </row>
    <row r="40" spans="2:10" x14ac:dyDescent="0.25">
      <c r="E40" s="26" t="s">
        <v>27</v>
      </c>
      <c r="F40" s="35">
        <v>2.8132999999999999E-3</v>
      </c>
    </row>
    <row r="41" spans="2:10" x14ac:dyDescent="0.25">
      <c r="E41" s="4" t="s">
        <v>28</v>
      </c>
      <c r="F41" s="5">
        <v>1006</v>
      </c>
    </row>
    <row r="42" spans="2:10" x14ac:dyDescent="0.25">
      <c r="E42" s="4" t="s">
        <v>29</v>
      </c>
      <c r="F42" s="5">
        <v>1.2250000000000001</v>
      </c>
    </row>
    <row r="43" spans="2:10" x14ac:dyDescent="0.25">
      <c r="E43" s="4" t="s">
        <v>16</v>
      </c>
      <c r="F43" s="48">
        <f>1/(F42*F41*F40)</f>
        <v>0.28843627907041275</v>
      </c>
    </row>
    <row r="44" spans="2:10" ht="15.75" thickBot="1" x14ac:dyDescent="0.3">
      <c r="E44" s="6" t="s">
        <v>31</v>
      </c>
      <c r="F44" s="7">
        <v>20</v>
      </c>
    </row>
  </sheetData>
  <mergeCells count="34">
    <mergeCell ref="B30:C30"/>
    <mergeCell ref="E30:F30"/>
    <mergeCell ref="I30:J30"/>
    <mergeCell ref="B22:C22"/>
    <mergeCell ref="B12:C12"/>
    <mergeCell ref="B3:C3"/>
    <mergeCell ref="I3:J3"/>
    <mergeCell ref="F4:G4"/>
    <mergeCell ref="W6:X6"/>
    <mergeCell ref="T10:U10"/>
    <mergeCell ref="I8:J8"/>
    <mergeCell ref="B8:C8"/>
    <mergeCell ref="B18:C18"/>
    <mergeCell ref="B26:C26"/>
    <mergeCell ref="Z15:AA15"/>
    <mergeCell ref="T17:U17"/>
    <mergeCell ref="T22:U22"/>
    <mergeCell ref="W26:X26"/>
    <mergeCell ref="AJ15:AK15"/>
    <mergeCell ref="AG31:AH31"/>
    <mergeCell ref="AJ10:AK10"/>
    <mergeCell ref="AG26:AH26"/>
    <mergeCell ref="Z10:AA10"/>
    <mergeCell ref="AD10:AE10"/>
    <mergeCell ref="AD22:AE22"/>
    <mergeCell ref="AD17:AE17"/>
    <mergeCell ref="F1:G1"/>
    <mergeCell ref="E35:F35"/>
    <mergeCell ref="E39:F39"/>
    <mergeCell ref="W31:X31"/>
    <mergeCell ref="AG6:AH6"/>
    <mergeCell ref="I26:J26"/>
    <mergeCell ref="G11:L11"/>
    <mergeCell ref="J12:L12"/>
  </mergeCells>
  <conditionalFormatting sqref="A8:A31">
    <cfRule type="cellIs" dxfId="1" priority="4" operator="greaterThan">
      <formula>0</formula>
    </cfRule>
  </conditionalFormatting>
  <conditionalFormatting sqref="M8:M31"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Bentley</dc:creator>
  <cp:lastModifiedBy>Shaun Bentley</cp:lastModifiedBy>
  <dcterms:created xsi:type="dcterms:W3CDTF">2020-06-11T18:45:22Z</dcterms:created>
  <dcterms:modified xsi:type="dcterms:W3CDTF">2021-06-03T17:51:15Z</dcterms:modified>
</cp:coreProperties>
</file>